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C:\Users\jolsen\Documents\Cogo\04.2018 proposed changes\"/>
    </mc:Choice>
  </mc:AlternateContent>
  <bookViews>
    <workbookView xWindow="0" yWindow="0" windowWidth="23040" windowHeight="10344" firstSheet="2" activeTab="2"/>
  </bookViews>
  <sheets>
    <sheet name="DATA SHEET" sheetId="1" state="hidden" r:id="rId1"/>
    <sheet name="FL &amp; TN" sheetId="4" state="hidden" r:id="rId2"/>
    <sheet name="LOAN QUOTE" sheetId="2" r:id="rId3"/>
    <sheet name="Loan Analysis" sheetId="3"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2" l="1"/>
  <c r="E7" i="4" l="1"/>
  <c r="D4" i="4"/>
  <c r="D8" i="4" s="1"/>
  <c r="E8" i="4" s="1"/>
  <c r="E21" i="3" l="1"/>
  <c r="E23" i="3" s="1"/>
  <c r="D21" i="3"/>
  <c r="D23" i="3" s="1"/>
  <c r="C21" i="3"/>
  <c r="C23" i="3" s="1"/>
  <c r="B21" i="3"/>
  <c r="B23" i="3" s="1"/>
  <c r="B8" i="3"/>
  <c r="G11" i="2" l="1"/>
  <c r="F21" i="2" s="1"/>
  <c r="C21" i="2" l="1"/>
  <c r="C22" i="2" s="1"/>
  <c r="C23" i="2" s="1"/>
  <c r="C24" i="2" s="1"/>
  <c r="C32" i="2" s="1"/>
  <c r="F27" i="2"/>
  <c r="E27" i="2"/>
  <c r="C16" i="2"/>
  <c r="F28" i="2"/>
  <c r="E28" i="2"/>
  <c r="D6" i="4" l="1"/>
  <c r="E32" i="2"/>
  <c r="D5" i="4"/>
  <c r="G32" i="2" l="1"/>
  <c r="F32" i="2"/>
  <c r="G23" i="2"/>
  <c r="D3" i="4" l="1"/>
  <c r="E6" i="4" l="1"/>
  <c r="E5" i="4"/>
  <c r="E10" i="4" s="1"/>
  <c r="B15" i="3"/>
  <c r="B25" i="2"/>
  <c r="C35" i="2"/>
  <c r="E11" i="4" l="1"/>
  <c r="D12" i="4" s="1"/>
  <c r="F35" i="2"/>
  <c r="G35" i="2"/>
  <c r="B9" i="3"/>
  <c r="E35" i="2"/>
  <c r="C15" i="3"/>
  <c r="G28" i="2" l="1"/>
  <c r="C34" i="2" s="1"/>
  <c r="C36" i="2" s="1"/>
  <c r="B16" i="3" s="1"/>
  <c r="B17" i="3" s="1"/>
  <c r="B22" i="3" s="1"/>
  <c r="B24" i="3" s="1"/>
  <c r="B25" i="3" s="1"/>
  <c r="B26" i="3" s="1"/>
  <c r="G27" i="2"/>
  <c r="C33" i="2" s="1"/>
  <c r="F33" i="2" s="1"/>
  <c r="D15" i="3"/>
  <c r="E15" i="3"/>
  <c r="D9" i="3"/>
  <c r="E9" i="3"/>
  <c r="C9" i="3"/>
  <c r="E34" i="2" l="1"/>
  <c r="E36" i="2" s="1"/>
  <c r="C16" i="3" s="1"/>
  <c r="C17" i="3" s="1"/>
  <c r="C22" i="3" s="1"/>
  <c r="C24" i="3" s="1"/>
  <c r="C25" i="3" s="1"/>
  <c r="C26" i="3" s="1"/>
  <c r="E33" i="2"/>
  <c r="G34" i="2"/>
  <c r="G36" i="2" s="1"/>
  <c r="E16" i="3" s="1"/>
  <c r="E17" i="3" s="1"/>
  <c r="E22" i="3" s="1"/>
  <c r="E24" i="3" s="1"/>
  <c r="E25" i="3" s="1"/>
  <c r="E26" i="3" s="1"/>
  <c r="F34" i="2"/>
  <c r="F36" i="2" s="1"/>
  <c r="D16" i="3" s="1"/>
  <c r="D17" i="3" s="1"/>
  <c r="D22" i="3" s="1"/>
  <c r="D24" i="3" s="1"/>
  <c r="D25" i="3" s="1"/>
  <c r="D26" i="3" s="1"/>
  <c r="G33" i="2"/>
</calcChain>
</file>

<file path=xl/comments1.xml><?xml version="1.0" encoding="utf-8"?>
<comments xmlns="http://schemas.openxmlformats.org/spreadsheetml/2006/main">
  <authors>
    <author>Jaclyn Olsen</author>
  </authors>
  <commentList>
    <comment ref="C12" authorId="0" shapeId="0">
      <text>
        <r>
          <rPr>
            <b/>
            <sz val="9"/>
            <color indexed="81"/>
            <rFont val="Tahoma"/>
            <family val="2"/>
          </rPr>
          <t>Jaclyn Olsen:</t>
        </r>
        <r>
          <rPr>
            <sz val="9"/>
            <color indexed="81"/>
            <rFont val="Tahoma"/>
            <family val="2"/>
          </rPr>
          <t xml:space="preserve">
This amount may vary from term of loan.  This can be 3 months if they believe they will sell the property within 3 months.  </t>
        </r>
      </text>
    </comment>
  </commentList>
</comments>
</file>

<file path=xl/sharedStrings.xml><?xml version="1.0" encoding="utf-8"?>
<sst xmlns="http://schemas.openxmlformats.org/spreadsheetml/2006/main" count="184" uniqueCount="148">
  <si>
    <t>Borrower Costs</t>
  </si>
  <si>
    <t>Loan Application</t>
  </si>
  <si>
    <t>This includes Credit Pull, CDNA, and Deal Analysis</t>
  </si>
  <si>
    <t>Contractor Bid</t>
  </si>
  <si>
    <t>Required for all Rehab Loans</t>
  </si>
  <si>
    <t>Appraisal</t>
  </si>
  <si>
    <t>400-695</t>
  </si>
  <si>
    <t>Depends on Property</t>
  </si>
  <si>
    <t xml:space="preserve">When a loan application is received RICO is yelled.  No Transfer, No Hold.  They get transferred to a live voice.  </t>
  </si>
  <si>
    <t>Loan Programs</t>
  </si>
  <si>
    <t>Rehab</t>
  </si>
  <si>
    <t>Non-Master/Lee's Inner Circle</t>
  </si>
  <si>
    <t>Master and Lee's Inner Circle</t>
  </si>
  <si>
    <t>Closing Costs</t>
  </si>
  <si>
    <t>Estimated at 10% of loan amount</t>
  </si>
  <si>
    <t>Purchase Price/Refinance</t>
  </si>
  <si>
    <t>Not to Exceed LTV</t>
  </si>
  <si>
    <t>Purchase Closing Costs</t>
  </si>
  <si>
    <t>Score</t>
  </si>
  <si>
    <t>Experience</t>
  </si>
  <si>
    <t>Points</t>
  </si>
  <si>
    <t>Interest</t>
  </si>
  <si>
    <t>720+</t>
  </si>
  <si>
    <t>680-719</t>
  </si>
  <si>
    <t>620-679</t>
  </si>
  <si>
    <t>5+</t>
  </si>
  <si>
    <t>3-4</t>
  </si>
  <si>
    <t>Purchase</t>
  </si>
  <si>
    <t>Refinance</t>
  </si>
  <si>
    <t>Are you a Lee's Inner Circle or a Master Client</t>
  </si>
  <si>
    <t>No</t>
  </si>
  <si>
    <t>Yes</t>
  </si>
  <si>
    <t>Purchase Price/Refinance Amount</t>
  </si>
  <si>
    <t>Rehab Cost</t>
  </si>
  <si>
    <t>Project Cost</t>
  </si>
  <si>
    <t>Loan Amount</t>
  </si>
  <si>
    <t>Loan Amount (Before Closing Costs)</t>
  </si>
  <si>
    <t xml:space="preserve">Loan Amount </t>
  </si>
  <si>
    <t>Transaction Type</t>
  </si>
  <si>
    <t>Credit Score</t>
  </si>
  <si>
    <t>Origination Points</t>
  </si>
  <si>
    <t>Interest Rate</t>
  </si>
  <si>
    <t>15% Buy Down</t>
  </si>
  <si>
    <t>10% Buy Down</t>
  </si>
  <si>
    <t>5% Buy down</t>
  </si>
  <si>
    <t>Qualified</t>
  </si>
  <si>
    <t>Cashout</t>
  </si>
  <si>
    <t>LTV Max</t>
  </si>
  <si>
    <t>Loan Program</t>
  </si>
  <si>
    <t xml:space="preserve">Appraisal </t>
  </si>
  <si>
    <t>(If Rehab ARV Appraisal, If No-Rehab As Is Appraisal)</t>
  </si>
  <si>
    <t>1-2</t>
  </si>
  <si>
    <t>Experience (No. of HUDs in 24 mos)</t>
  </si>
  <si>
    <t>YOUR COGO CAPITAL LOAN QUOTE</t>
  </si>
  <si>
    <t>Plan 1</t>
  </si>
  <si>
    <t>Plan 2</t>
  </si>
  <si>
    <t>Plan 3</t>
  </si>
  <si>
    <t>Plan 4</t>
  </si>
  <si>
    <t>Borrower Name</t>
  </si>
  <si>
    <t>Borrower Signature</t>
  </si>
  <si>
    <t>Date</t>
  </si>
  <si>
    <t>Selected Plan</t>
  </si>
  <si>
    <t>Next Steps:</t>
  </si>
  <si>
    <t>Cash to Close (Estimated)</t>
  </si>
  <si>
    <t>Monthly Payment</t>
  </si>
  <si>
    <t>1-  Simply Review Your Loan Quote, Select Your Customized Loan Plan, Authorize, Date, and Return This Form To Your Incredible Loan Analyst.</t>
  </si>
  <si>
    <t xml:space="preserve">4-  By Authoizing Below, You Acknowledge That This Loan Cost Worksheet Has Been Completed Accurately And That All Information Is True And Correct. You Are Also Agreeing To Move To The Next Step In The Loan Origination Process.  Upon Reciept You Willl Be Charged $197 For Your Application Fee And Your File Will be Placed With A Sr. Loan Officer.  </t>
  </si>
  <si>
    <t>Add'l Cash to Close (% of Loan Amount)</t>
  </si>
  <si>
    <r>
      <t xml:space="preserve">Cash out is maxed at 50% LTV                             </t>
    </r>
    <r>
      <rPr>
        <sz val="8"/>
        <color theme="1"/>
        <rFont val="Arial Narrow"/>
        <family val="2"/>
      </rPr>
      <t>(May including Closing Costs)</t>
    </r>
  </si>
  <si>
    <t xml:space="preserve">3-  Upon Completion Of Your Construction Cost Assessment And A Determination That This Is A Viable Project, The Next Step Is To Schedule The As-Is and After Repaired Value (ARV) Of Your Project Property.  Appraisals Typically Range Between $450 - $650 For A Single-Family Residence.  Additional Units Will Require Additional Appraisal Fees </t>
  </si>
  <si>
    <t>Is the Property in One of these Counties?</t>
  </si>
  <si>
    <t>Baltimore County, MC</t>
  </si>
  <si>
    <t>Cook County, IL</t>
  </si>
  <si>
    <t>Cuyahoga County, OH</t>
  </si>
  <si>
    <t>Wayne County, MI</t>
  </si>
  <si>
    <t>Assuming all the information provided is accurate this is your Cogo Capital Loan Quote.  Closing costs will vary.  For purpose of the estimated Loan Quote we have used 10% as the Closing Costs.  There are no buydown options for Cash-Out transactions</t>
  </si>
  <si>
    <t>Terms</t>
  </si>
  <si>
    <t>Closing Expenses</t>
  </si>
  <si>
    <t>Appraisal Fee</t>
  </si>
  <si>
    <t>Application Fee</t>
  </si>
  <si>
    <t>Profit Calculation</t>
  </si>
  <si>
    <t>Sale Price</t>
  </si>
  <si>
    <t>Selling Expenses (10%)</t>
  </si>
  <si>
    <t>Total Profit</t>
  </si>
  <si>
    <t>ROI</t>
  </si>
  <si>
    <t>Annualized ROI</t>
  </si>
  <si>
    <r>
      <t>How long will you need the money for? (in Months)</t>
    </r>
    <r>
      <rPr>
        <sz val="8"/>
        <color theme="1"/>
        <rFont val="Arial Narrow"/>
        <family val="2"/>
      </rPr>
      <t xml:space="preserve"> This may vary from Term of Loan.</t>
    </r>
  </si>
  <si>
    <t>Terms (May vary from Loan Term)</t>
  </si>
  <si>
    <t>Cogo Loan Analysis</t>
  </si>
  <si>
    <r>
      <t xml:space="preserve">Out-of-Pocket Expense </t>
    </r>
    <r>
      <rPr>
        <sz val="8"/>
        <color theme="1"/>
        <rFont val="Arial Narrow"/>
        <family val="2"/>
      </rPr>
      <t>(over the life of the loan)</t>
    </r>
  </si>
  <si>
    <r>
      <t xml:space="preserve">Project Cost/Asset Basis </t>
    </r>
    <r>
      <rPr>
        <sz val="8"/>
        <color theme="1"/>
        <rFont val="Arial Narrow"/>
        <family val="2"/>
      </rPr>
      <t>(Loan + Out-of-Pocket Exp)</t>
    </r>
  </si>
  <si>
    <r>
      <t xml:space="preserve">Total Out-of-Pocket Expense </t>
    </r>
    <r>
      <rPr>
        <sz val="8"/>
        <color theme="0"/>
        <rFont val="Arial Narrow"/>
        <family val="2"/>
      </rPr>
      <t>(over the life of loan)</t>
    </r>
  </si>
  <si>
    <r>
      <t xml:space="preserve">Monthly Payments </t>
    </r>
    <r>
      <rPr>
        <sz val="8"/>
        <color theme="1"/>
        <rFont val="Arial Narrow"/>
        <family val="2"/>
      </rPr>
      <t>(over the life of the loan)</t>
    </r>
  </si>
  <si>
    <t>Location of Property (State)</t>
  </si>
  <si>
    <t>Alabama</t>
  </si>
  <si>
    <t>Alaska</t>
  </si>
  <si>
    <t>Arkansas</t>
  </si>
  <si>
    <t>Colorado</t>
  </si>
  <si>
    <t>Conneticut</t>
  </si>
  <si>
    <t>Delaware</t>
  </si>
  <si>
    <t>District of Columbia</t>
  </si>
  <si>
    <t>Florida</t>
  </si>
  <si>
    <t>Georgia</t>
  </si>
  <si>
    <t>Hawaii</t>
  </si>
  <si>
    <t>Idaho</t>
  </si>
  <si>
    <t>Illinois</t>
  </si>
  <si>
    <t>Indiana</t>
  </si>
  <si>
    <t>Iowa</t>
  </si>
  <si>
    <t>Kansas</t>
  </si>
  <si>
    <t>Kentucky</t>
  </si>
  <si>
    <t>Louisiana</t>
  </si>
  <si>
    <t>Maine</t>
  </si>
  <si>
    <t>Maryland</t>
  </si>
  <si>
    <t>Massachuttes</t>
  </si>
  <si>
    <t>Michigan</t>
  </si>
  <si>
    <t>Mississippi</t>
  </si>
  <si>
    <t>Missouri</t>
  </si>
  <si>
    <t>Montana</t>
  </si>
  <si>
    <t>Nebraska</t>
  </si>
  <si>
    <t>New Hampshire</t>
  </si>
  <si>
    <t>New Jersey</t>
  </si>
  <si>
    <t>New Mexico</t>
  </si>
  <si>
    <t>New York</t>
  </si>
  <si>
    <t>North Carolina</t>
  </si>
  <si>
    <t>North Dakota</t>
  </si>
  <si>
    <t>Ohio</t>
  </si>
  <si>
    <t>Oklahoma</t>
  </si>
  <si>
    <t>Pennsylvania</t>
  </si>
  <si>
    <t>Rhode Island</t>
  </si>
  <si>
    <t>South Carolina</t>
  </si>
  <si>
    <t>Tennessee</t>
  </si>
  <si>
    <t>Texas</t>
  </si>
  <si>
    <t>Utah</t>
  </si>
  <si>
    <t>Virginia</t>
  </si>
  <si>
    <t>Washington</t>
  </si>
  <si>
    <t>West Virgina</t>
  </si>
  <si>
    <t>Wisconsin</t>
  </si>
  <si>
    <t>Wyoming</t>
  </si>
  <si>
    <t>Eligible States</t>
  </si>
  <si>
    <t>Loan Terms (Months)</t>
  </si>
  <si>
    <t>Original Points</t>
  </si>
  <si>
    <t>Original Interest</t>
  </si>
  <si>
    <t>Loan Fees</t>
  </si>
  <si>
    <t>Servicing Fees</t>
  </si>
  <si>
    <t>Broker Fees (If there is a broker)</t>
  </si>
  <si>
    <t>Estimated Closting Costs</t>
  </si>
  <si>
    <t xml:space="preserve">2-  For Reimbursement Rehab Loans - Upon Receipt of Your Signed Loan Quote, Your Loan Analyst Will Schedule for A Cogo Capital Approved Contractor To Inspect Your Project and Provide You With Your </t>
  </si>
  <si>
    <t>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</si>
</sst>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1" x14ac:knownFonts="1">
    <font>
      <sz val="11"/>
      <color theme="1"/>
      <name val="Calibri"/>
      <family val="2"/>
      <scheme val="minor"/>
    </font>
    <font>
      <sz val="11"/>
      <color theme="1"/>
      <name val="Calibri"/>
      <family val="2"/>
      <scheme val="minor"/>
    </font>
    <font>
      <sz val="18"/>
      <color theme="1"/>
      <name val="Calibri"/>
      <family val="2"/>
      <scheme val="minor"/>
    </font>
    <font>
      <sz val="11"/>
      <color theme="1"/>
      <name val="Arial Narrow"/>
      <family val="2"/>
    </font>
    <font>
      <sz val="11"/>
      <color theme="0"/>
      <name val="Arial Narrow"/>
      <family val="2"/>
    </font>
    <font>
      <sz val="12"/>
      <color theme="1"/>
      <name val="Arial Narrow"/>
      <family val="2"/>
    </font>
    <font>
      <sz val="12"/>
      <color theme="0"/>
      <name val="Arial Narrow"/>
      <family val="2"/>
    </font>
    <font>
      <sz val="18"/>
      <color theme="1"/>
      <name val="Arial Narrow"/>
      <family val="2"/>
    </font>
    <font>
      <b/>
      <sz val="12"/>
      <color theme="1"/>
      <name val="Arial Narrow"/>
      <family val="2"/>
    </font>
    <font>
      <sz val="8"/>
      <color theme="1"/>
      <name val="Arial Narrow"/>
      <family val="2"/>
    </font>
    <font>
      <sz val="11"/>
      <color theme="0" tint="-0.34998626667073579"/>
      <name val="Arial Narrow"/>
      <family val="2"/>
    </font>
    <font>
      <sz val="12"/>
      <name val="Arial Narrow"/>
      <family val="2"/>
    </font>
    <font>
      <sz val="12"/>
      <color theme="5" tint="-0.249977111117893"/>
      <name val="Arial Narrow"/>
      <family val="2"/>
    </font>
    <font>
      <sz val="12"/>
      <color theme="0" tint="-0.249977111117893"/>
      <name val="Arial Narrow"/>
      <family val="2"/>
    </font>
    <font>
      <sz val="9"/>
      <color indexed="81"/>
      <name val="Tahoma"/>
      <family val="2"/>
    </font>
    <font>
      <b/>
      <sz val="9"/>
      <color indexed="81"/>
      <name val="Tahoma"/>
      <family val="2"/>
    </font>
    <font>
      <sz val="10"/>
      <color theme="1"/>
      <name val="Arial Narrow"/>
      <family val="2"/>
    </font>
    <font>
      <sz val="10"/>
      <name val="Arial Narrow"/>
      <family val="2"/>
    </font>
    <font>
      <sz val="10"/>
      <color theme="1"/>
      <name val="Calibri"/>
      <family val="2"/>
      <scheme val="minor"/>
    </font>
    <font>
      <sz val="8"/>
      <color theme="0"/>
      <name val="Arial Narrow"/>
      <family val="2"/>
    </font>
    <font>
      <b/>
      <sz val="12"/>
      <color theme="0"/>
      <name val="Arial Narrow"/>
      <family val="2"/>
    </font>
  </fonts>
  <fills count="9">
    <fill>
      <patternFill patternType="none"/>
    </fill>
    <fill>
      <patternFill patternType="gray125"/>
    </fill>
    <fill>
      <patternFill patternType="solid">
        <fgColor theme="5" tint="0.59999389629810485"/>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0" fontId="2" fillId="0" borderId="0" xfId="0" applyFont="1"/>
    <xf numFmtId="0" fontId="3" fillId="0" borderId="0" xfId="0" applyFont="1"/>
    <xf numFmtId="0" fontId="5" fillId="0" borderId="0" xfId="0" applyFont="1"/>
    <xf numFmtId="0" fontId="5" fillId="2" borderId="0" xfId="0" applyFont="1" applyFill="1" applyProtection="1">
      <protection locked="0"/>
    </xf>
    <xf numFmtId="44" fontId="5" fillId="2" borderId="0" xfId="1" applyFont="1" applyFill="1" applyProtection="1">
      <protection locked="0"/>
    </xf>
    <xf numFmtId="44" fontId="5" fillId="0" borderId="0" xfId="1" applyFont="1"/>
    <xf numFmtId="44" fontId="5" fillId="0" borderId="0" xfId="0" applyNumberFormat="1" applyFont="1"/>
    <xf numFmtId="0" fontId="6" fillId="3" borderId="4" xfId="0" applyFont="1" applyFill="1" applyBorder="1"/>
    <xf numFmtId="0" fontId="5" fillId="2" borderId="0" xfId="0" applyFont="1" applyFill="1" applyAlignment="1" applyProtection="1">
      <alignment horizontal="right"/>
      <protection locked="0"/>
    </xf>
    <xf numFmtId="0" fontId="6" fillId="4" borderId="1" xfId="0" applyFont="1" applyFill="1" applyBorder="1"/>
    <xf numFmtId="0" fontId="6" fillId="3" borderId="1" xfId="0" applyFont="1" applyFill="1" applyBorder="1"/>
    <xf numFmtId="0" fontId="7" fillId="0" borderId="0" xfId="0" applyFont="1"/>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3" fillId="0" borderId="0" xfId="0" applyFont="1" applyProtection="1"/>
    <xf numFmtId="0" fontId="3" fillId="0" borderId="0" xfId="0" applyFont="1" applyAlignment="1" applyProtection="1">
      <alignment horizontal="right"/>
    </xf>
    <xf numFmtId="0" fontId="3" fillId="0" borderId="1" xfId="0" applyFont="1" applyBorder="1" applyProtection="1"/>
    <xf numFmtId="9" fontId="3" fillId="0" borderId="1" xfId="2" applyFont="1" applyBorder="1" applyProtection="1"/>
    <xf numFmtId="9" fontId="3" fillId="0" borderId="0" xfId="2" applyFont="1" applyProtection="1"/>
    <xf numFmtId="9" fontId="3" fillId="0" borderId="1" xfId="0" applyNumberFormat="1" applyFont="1" applyBorder="1" applyAlignment="1" applyProtection="1">
      <alignment horizontal="right"/>
    </xf>
    <xf numFmtId="9" fontId="3" fillId="0" borderId="1" xfId="0" applyNumberFormat="1" applyFont="1" applyBorder="1" applyProtection="1"/>
    <xf numFmtId="0" fontId="3" fillId="0" borderId="1" xfId="0" applyFont="1" applyBorder="1" applyAlignment="1" applyProtection="1">
      <alignment horizontal="center"/>
    </xf>
    <xf numFmtId="16" fontId="3" fillId="0" borderId="1" xfId="0" quotePrefix="1" applyNumberFormat="1" applyFont="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center"/>
    </xf>
    <xf numFmtId="0" fontId="4" fillId="4" borderId="1" xfId="0" applyFont="1" applyFill="1" applyBorder="1" applyAlignment="1" applyProtection="1">
      <alignment horizontal="center"/>
    </xf>
    <xf numFmtId="9" fontId="3" fillId="0" borderId="1" xfId="2" applyFont="1" applyFill="1" applyBorder="1" applyProtection="1"/>
    <xf numFmtId="0" fontId="4" fillId="4" borderId="1" xfId="0" applyFont="1" applyFill="1" applyBorder="1" applyAlignment="1" applyProtection="1">
      <alignment horizontal="center" vertical="center" wrapText="1"/>
    </xf>
    <xf numFmtId="0" fontId="3" fillId="0" borderId="1" xfId="0" applyFont="1" applyBorder="1" applyAlignment="1" applyProtection="1">
      <alignment wrapText="1"/>
    </xf>
    <xf numFmtId="9" fontId="3" fillId="0" borderId="1" xfId="2" applyFont="1" applyBorder="1" applyAlignment="1" applyProtection="1">
      <alignment wrapText="1"/>
    </xf>
    <xf numFmtId="9" fontId="3" fillId="0" borderId="0" xfId="0" applyNumberFormat="1" applyFont="1" applyProtection="1"/>
    <xf numFmtId="44" fontId="6" fillId="3" borderId="5" xfId="1" applyFont="1" applyFill="1" applyBorder="1" applyAlignment="1">
      <alignment horizontal="right"/>
    </xf>
    <xf numFmtId="0" fontId="11" fillId="0" borderId="0" xfId="0" applyFont="1"/>
    <xf numFmtId="0" fontId="12" fillId="0" borderId="0" xfId="0" applyFont="1"/>
    <xf numFmtId="0" fontId="0" fillId="0" borderId="0" xfId="0" applyAlignment="1">
      <alignment vertical="center"/>
    </xf>
    <xf numFmtId="0" fontId="3" fillId="0" borderId="0" xfId="0" applyFont="1" applyAlignment="1">
      <alignment vertical="center" wrapText="1"/>
    </xf>
    <xf numFmtId="0" fontId="5" fillId="2" borderId="0" xfId="0" applyFont="1" applyFill="1" applyAlignment="1" applyProtection="1">
      <alignment horizontal="left" vertical="center"/>
      <protection locked="0"/>
    </xf>
    <xf numFmtId="44" fontId="3" fillId="0" borderId="0" xfId="0" applyNumberFormat="1" applyFont="1"/>
    <xf numFmtId="0" fontId="3"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8" fillId="0" borderId="0" xfId="0" applyFont="1" applyAlignment="1">
      <alignment horizontal="center"/>
    </xf>
    <xf numFmtId="0" fontId="3" fillId="0" borderId="1" xfId="0" applyFont="1" applyBorder="1"/>
    <xf numFmtId="44" fontId="3" fillId="0" borderId="1" xfId="0" applyNumberFormat="1" applyFont="1" applyBorder="1"/>
    <xf numFmtId="9" fontId="3" fillId="0" borderId="1" xfId="2" applyFont="1" applyBorder="1"/>
    <xf numFmtId="0" fontId="3" fillId="0" borderId="1" xfId="0" applyFont="1" applyBorder="1" applyAlignment="1">
      <alignment horizontal="left" indent="1"/>
    </xf>
    <xf numFmtId="0" fontId="3" fillId="6" borderId="15" xfId="0" applyFont="1" applyFill="1" applyBorder="1" applyAlignment="1">
      <alignment horizontal="center"/>
    </xf>
    <xf numFmtId="0" fontId="17" fillId="6" borderId="16" xfId="0" applyFont="1" applyFill="1" applyBorder="1" applyAlignment="1">
      <alignment horizontal="center"/>
    </xf>
    <xf numFmtId="0" fontId="4" fillId="3" borderId="1" xfId="0" applyFont="1" applyFill="1" applyBorder="1"/>
    <xf numFmtId="44" fontId="4" fillId="3" borderId="1" xfId="0" applyNumberFormat="1" applyFont="1" applyFill="1" applyBorder="1"/>
    <xf numFmtId="9" fontId="4" fillId="3" borderId="1" xfId="2" applyFont="1" applyFill="1" applyBorder="1"/>
    <xf numFmtId="0" fontId="0" fillId="0" borderId="1" xfId="0" applyBorder="1" applyAlignment="1">
      <alignment horizontal="center" vertical="center" wrapText="1"/>
    </xf>
    <xf numFmtId="0" fontId="0" fillId="0" borderId="1" xfId="0" applyBorder="1" applyAlignment="1">
      <alignment horizontal="center"/>
    </xf>
    <xf numFmtId="0" fontId="0" fillId="8" borderId="1" xfId="0" applyFill="1" applyBorder="1" applyAlignment="1">
      <alignment horizontal="center" vertical="center" wrapText="1"/>
    </xf>
    <xf numFmtId="0" fontId="5" fillId="2" borderId="0" xfId="0" applyFont="1" applyFill="1" applyAlignment="1" applyProtection="1">
      <alignment horizontal="left"/>
      <protection locked="0"/>
    </xf>
    <xf numFmtId="0" fontId="20" fillId="4" borderId="1" xfId="0" applyFont="1" applyFill="1" applyBorder="1"/>
    <xf numFmtId="9" fontId="0" fillId="0" borderId="0" xfId="0" applyNumberFormat="1"/>
    <xf numFmtId="44" fontId="0" fillId="0" borderId="0" xfId="1" applyFont="1"/>
    <xf numFmtId="0" fontId="5" fillId="0" borderId="0" xfId="0" applyFont="1" applyFill="1"/>
    <xf numFmtId="0" fontId="5" fillId="0" borderId="0" xfId="0" applyFont="1" applyFill="1" applyAlignment="1">
      <alignment horizontal="center" vertical="center" wrapText="1"/>
    </xf>
    <xf numFmtId="0" fontId="5" fillId="0" borderId="0" xfId="0" applyFont="1" applyFill="1" applyBorder="1" applyAlignment="1">
      <alignment horizontal="center"/>
    </xf>
    <xf numFmtId="44" fontId="0" fillId="0" borderId="0" xfId="0" applyNumberFormat="1"/>
    <xf numFmtId="9" fontId="0" fillId="0" borderId="0" xfId="2" applyFont="1"/>
    <xf numFmtId="10" fontId="0" fillId="0" borderId="0" xfId="2" applyNumberFormat="1" applyFont="1"/>
    <xf numFmtId="0" fontId="5" fillId="0" borderId="0" xfId="0" applyFont="1" applyFill="1" applyProtection="1"/>
    <xf numFmtId="0" fontId="5" fillId="0" borderId="0" xfId="0" applyFont="1" applyFill="1" applyAlignment="1" applyProtection="1">
      <alignment horizontal="left" vertical="center"/>
    </xf>
    <xf numFmtId="44" fontId="5" fillId="0" borderId="0" xfId="1" applyFont="1" applyFill="1" applyProtection="1"/>
    <xf numFmtId="44" fontId="5" fillId="0" borderId="0" xfId="0" applyNumberFormat="1" applyFont="1" applyFill="1" applyProtection="1"/>
    <xf numFmtId="44" fontId="6" fillId="0" borderId="0" xfId="1" applyFont="1" applyFill="1" applyBorder="1" applyAlignment="1" applyProtection="1">
      <alignment horizontal="right"/>
    </xf>
    <xf numFmtId="0" fontId="11" fillId="0" borderId="0" xfId="0" applyFont="1" applyFill="1" applyProtection="1"/>
    <xf numFmtId="0" fontId="5" fillId="0" borderId="0" xfId="0" applyFont="1" applyFill="1" applyAlignment="1" applyProtection="1">
      <alignment horizontal="right"/>
    </xf>
    <xf numFmtId="0" fontId="5" fillId="0" borderId="0" xfId="0" applyFont="1" applyProtection="1"/>
    <xf numFmtId="0" fontId="13" fillId="0" borderId="0" xfId="0" applyFont="1" applyProtection="1"/>
    <xf numFmtId="0" fontId="10" fillId="0" borderId="0" xfId="0" applyFont="1" applyProtection="1"/>
    <xf numFmtId="0" fontId="0" fillId="0" borderId="0" xfId="0"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0" fillId="0" borderId="0" xfId="0" applyFont="1" applyAlignment="1" applyProtection="1">
      <alignment vertical="center"/>
    </xf>
    <xf numFmtId="0" fontId="6" fillId="4" borderId="1" xfId="0" applyFont="1" applyFill="1" applyBorder="1" applyAlignment="1" applyProtection="1">
      <alignment horizontal="center"/>
    </xf>
    <xf numFmtId="44" fontId="6" fillId="3" borderId="1" xfId="0" applyNumberFormat="1" applyFont="1" applyFill="1" applyBorder="1" applyProtection="1"/>
    <xf numFmtId="9" fontId="6" fillId="3" borderId="1" xfId="0" applyNumberFormat="1" applyFont="1" applyFill="1" applyBorder="1" applyProtection="1"/>
    <xf numFmtId="9" fontId="5" fillId="2" borderId="0" xfId="2" applyFont="1" applyFill="1" applyAlignment="1" applyProtection="1">
      <alignment horizontal="center"/>
      <protection locked="0"/>
    </xf>
    <xf numFmtId="0" fontId="4" fillId="4" borderId="1" xfId="0" applyFont="1" applyFill="1" applyBorder="1" applyAlignment="1" applyProtection="1">
      <alignment horizontal="center"/>
    </xf>
    <xf numFmtId="0" fontId="3" fillId="0" borderId="2" xfId="0" applyFont="1" applyBorder="1" applyAlignment="1" applyProtection="1">
      <alignment horizontal="center" wrapText="1"/>
    </xf>
    <xf numFmtId="0" fontId="3" fillId="0" borderId="3" xfId="0" applyFont="1" applyBorder="1" applyAlignment="1" applyProtection="1">
      <alignment horizontal="center" wrapText="1"/>
    </xf>
    <xf numFmtId="0" fontId="5" fillId="0" borderId="6" xfId="0" applyFont="1" applyBorder="1" applyAlignment="1">
      <alignment horizontal="center"/>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5" fillId="5" borderId="10" xfId="0" quotePrefix="1"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0" fontId="5" fillId="5" borderId="11" xfId="0" applyFont="1" applyFill="1" applyBorder="1" applyAlignment="1">
      <alignment horizontal="left" vertical="center" wrapText="1" indent="1"/>
    </xf>
    <xf numFmtId="0" fontId="5" fillId="5" borderId="12" xfId="0" quotePrefix="1" applyFont="1" applyFill="1" applyBorder="1" applyAlignment="1">
      <alignment horizontal="left" vertical="center" wrapText="1" indent="1"/>
    </xf>
    <xf numFmtId="0" fontId="5" fillId="5" borderId="13" xfId="0" applyFont="1" applyFill="1" applyBorder="1" applyAlignment="1">
      <alignment horizontal="left" vertical="center" wrapText="1" indent="1"/>
    </xf>
    <xf numFmtId="0" fontId="5" fillId="5" borderId="14" xfId="0" applyFont="1" applyFill="1" applyBorder="1" applyAlignment="1">
      <alignment horizontal="left" vertical="center" wrapText="1" indent="1"/>
    </xf>
    <xf numFmtId="44" fontId="6" fillId="3" borderId="1" xfId="0" applyNumberFormat="1" applyFont="1" applyFill="1" applyBorder="1" applyAlignment="1">
      <alignment horizontal="center"/>
    </xf>
    <xf numFmtId="0" fontId="7" fillId="0" borderId="0" xfId="0" applyFont="1" applyAlignment="1">
      <alignment horizontal="left"/>
    </xf>
    <xf numFmtId="0" fontId="5" fillId="0" borderId="0" xfId="0" applyFont="1" applyAlignment="1">
      <alignment horizontal="center" vertical="center" wrapText="1"/>
    </xf>
    <xf numFmtId="0" fontId="6" fillId="4" borderId="1" xfId="0" applyFont="1" applyFill="1" applyBorder="1" applyAlignment="1">
      <alignment horizontal="center"/>
    </xf>
    <xf numFmtId="9" fontId="6" fillId="3" borderId="1" xfId="0" applyNumberFormat="1" applyFont="1" applyFill="1" applyBorder="1" applyAlignment="1">
      <alignment horizontal="right"/>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6" fillId="0" borderId="0" xfId="0" applyFont="1" applyAlignment="1" applyProtection="1">
      <alignment horizontal="right"/>
    </xf>
    <xf numFmtId="0" fontId="6" fillId="0" borderId="0" xfId="0" applyFont="1" applyAlignment="1" applyProtection="1">
      <alignment horizontal="center"/>
    </xf>
    <xf numFmtId="0" fontId="6" fillId="0" borderId="0" xfId="0" applyFont="1" applyProtection="1"/>
    <xf numFmtId="44" fontId="6" fillId="0" borderId="0" xfId="1" applyFont="1" applyProtection="1"/>
    <xf numFmtId="43" fontId="6" fillId="0" borderId="0" xfId="3" applyFont="1" applyProtection="1"/>
    <xf numFmtId="44" fontId="6" fillId="0" borderId="0" xfId="0" applyNumberFormat="1" applyFont="1" applyProtection="1"/>
    <xf numFmtId="9" fontId="6" fillId="0" borderId="0" xfId="2" applyFont="1" applyProtection="1"/>
    <xf numFmtId="44" fontId="3" fillId="7" borderId="1" xfId="0" applyNumberFormat="1" applyFont="1" applyFill="1" applyBorder="1" applyProtection="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76200</xdr:rowOff>
    </xdr:from>
    <xdr:to>
      <xdr:col>1</xdr:col>
      <xdr:colOff>2636520</xdr:colOff>
      <xdr:row>4</xdr:row>
      <xdr:rowOff>187404</xdr:rowOff>
    </xdr:to>
    <xdr:pic>
      <xdr:nvPicPr>
        <xdr:cNvPr id="3" name="Picture 2">
          <a:extLst>
            <a:ext uri="{FF2B5EF4-FFF2-40B4-BE49-F238E27FC236}">
              <a16:creationId xmlns:a16="http://schemas.microsoft.com/office/drawing/2014/main" id="{FB09554A-6DC6-4FE4-BBCF-CFC6E91FD8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76200"/>
          <a:ext cx="2628900" cy="903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213360</xdr:colOff>
      <xdr:row>4</xdr:row>
      <xdr:rowOff>172164</xdr:rowOff>
    </xdr:to>
    <xdr:pic>
      <xdr:nvPicPr>
        <xdr:cNvPr id="2" name="Picture 1">
          <a:extLst>
            <a:ext uri="{FF2B5EF4-FFF2-40B4-BE49-F238E27FC236}">
              <a16:creationId xmlns:a16="http://schemas.microsoft.com/office/drawing/2014/main" id="{C5E0984D-B55A-4EAF-A97E-9ECBD2EF7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28900" cy="9036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Q38"/>
  <sheetViews>
    <sheetView showGridLines="0" topLeftCell="A19" workbookViewId="0">
      <selection activeCell="G37" sqref="G37"/>
    </sheetView>
  </sheetViews>
  <sheetFormatPr defaultRowHeight="14.4" x14ac:dyDescent="0.3"/>
  <cols>
    <col min="1" max="1" width="3.33203125" style="2" customWidth="1"/>
    <col min="2" max="2" width="21" style="16" customWidth="1"/>
    <col min="3" max="3" width="11.44140625" style="16" customWidth="1"/>
    <col min="4" max="4" width="3.6640625" style="16" customWidth="1"/>
    <col min="5" max="5" width="11.44140625" style="16" customWidth="1"/>
    <col min="6" max="6" width="3.44140625" style="16" customWidth="1"/>
    <col min="7" max="12" width="8.88671875" style="16"/>
    <col min="16" max="16" width="14.44140625" customWidth="1"/>
  </cols>
  <sheetData>
    <row r="3" spans="2:17" x14ac:dyDescent="0.3">
      <c r="B3" s="16" t="s">
        <v>0</v>
      </c>
    </row>
    <row r="4" spans="2:17" x14ac:dyDescent="0.3">
      <c r="B4" s="16" t="s">
        <v>1</v>
      </c>
      <c r="C4" s="16">
        <v>197</v>
      </c>
      <c r="D4" s="16" t="s">
        <v>2</v>
      </c>
    </row>
    <row r="5" spans="2:17" x14ac:dyDescent="0.3">
      <c r="B5" s="16" t="s">
        <v>3</v>
      </c>
      <c r="C5" s="16">
        <v>150</v>
      </c>
      <c r="D5" s="16" t="s">
        <v>4</v>
      </c>
    </row>
    <row r="6" spans="2:17" x14ac:dyDescent="0.3">
      <c r="B6" s="16" t="s">
        <v>5</v>
      </c>
      <c r="C6" s="17" t="s">
        <v>6</v>
      </c>
      <c r="D6" s="16" t="s">
        <v>7</v>
      </c>
    </row>
    <row r="8" spans="2:17" x14ac:dyDescent="0.3">
      <c r="B8" s="16" t="s">
        <v>8</v>
      </c>
    </row>
    <row r="10" spans="2:17" x14ac:dyDescent="0.3">
      <c r="B10" s="16" t="s">
        <v>9</v>
      </c>
      <c r="J10" s="16" t="s">
        <v>27</v>
      </c>
      <c r="M10" t="s">
        <v>76</v>
      </c>
    </row>
    <row r="11" spans="2:17" x14ac:dyDescent="0.3">
      <c r="J11" s="16" t="s">
        <v>28</v>
      </c>
      <c r="M11">
        <v>6</v>
      </c>
      <c r="N11" s="58">
        <v>0</v>
      </c>
    </row>
    <row r="12" spans="2:17" x14ac:dyDescent="0.3">
      <c r="B12" s="84" t="s">
        <v>11</v>
      </c>
      <c r="C12" s="84"/>
      <c r="J12" s="16" t="s">
        <v>46</v>
      </c>
      <c r="K12" s="20">
        <v>0.5</v>
      </c>
      <c r="M12">
        <v>9</v>
      </c>
      <c r="N12" s="58">
        <v>0.01</v>
      </c>
    </row>
    <row r="13" spans="2:17" x14ac:dyDescent="0.3">
      <c r="B13" s="18" t="s">
        <v>15</v>
      </c>
      <c r="C13" s="19">
        <v>0.9</v>
      </c>
      <c r="M13">
        <v>12</v>
      </c>
      <c r="N13" s="58">
        <v>0.02</v>
      </c>
      <c r="Q13" s="41"/>
    </row>
    <row r="14" spans="2:17" x14ac:dyDescent="0.3">
      <c r="B14" s="18" t="s">
        <v>10</v>
      </c>
      <c r="C14" s="19">
        <v>1</v>
      </c>
      <c r="M14">
        <v>18</v>
      </c>
      <c r="N14" s="58">
        <v>0.03</v>
      </c>
    </row>
    <row r="15" spans="2:17" x14ac:dyDescent="0.3">
      <c r="B15" s="18" t="s">
        <v>17</v>
      </c>
      <c r="C15" s="21">
        <v>0</v>
      </c>
      <c r="M15">
        <v>24</v>
      </c>
    </row>
    <row r="16" spans="2:17" x14ac:dyDescent="0.3">
      <c r="B16" s="18" t="s">
        <v>16</v>
      </c>
      <c r="C16" s="22">
        <v>0.65</v>
      </c>
    </row>
    <row r="17" spans="2:12" ht="27.6" customHeight="1" x14ac:dyDescent="0.3">
      <c r="B17" s="85" t="s">
        <v>68</v>
      </c>
      <c r="C17" s="86"/>
      <c r="J17" s="16" t="s">
        <v>31</v>
      </c>
    </row>
    <row r="18" spans="2:12" x14ac:dyDescent="0.3">
      <c r="B18" s="26"/>
      <c r="C18" s="26"/>
      <c r="J18" s="16" t="s">
        <v>30</v>
      </c>
    </row>
    <row r="20" spans="2:12" x14ac:dyDescent="0.3">
      <c r="B20" s="84" t="s">
        <v>12</v>
      </c>
      <c r="C20" s="84"/>
      <c r="J20" s="16" t="s">
        <v>71</v>
      </c>
      <c r="L20" s="32">
        <v>0.5</v>
      </c>
    </row>
    <row r="21" spans="2:12" x14ac:dyDescent="0.3">
      <c r="B21" s="18" t="s">
        <v>15</v>
      </c>
      <c r="C21" s="19">
        <v>1</v>
      </c>
      <c r="J21" s="16" t="s">
        <v>72</v>
      </c>
    </row>
    <row r="22" spans="2:12" x14ac:dyDescent="0.3">
      <c r="B22" s="18" t="s">
        <v>10</v>
      </c>
      <c r="C22" s="19">
        <v>1</v>
      </c>
      <c r="J22" s="16" t="s">
        <v>73</v>
      </c>
    </row>
    <row r="23" spans="2:12" x14ac:dyDescent="0.3">
      <c r="B23" s="18" t="s">
        <v>13</v>
      </c>
      <c r="C23" s="19">
        <v>1</v>
      </c>
      <c r="G23" s="16" t="s">
        <v>14</v>
      </c>
      <c r="J23" s="16" t="s">
        <v>74</v>
      </c>
    </row>
    <row r="24" spans="2:12" x14ac:dyDescent="0.3">
      <c r="B24" s="30" t="s">
        <v>16</v>
      </c>
      <c r="C24" s="31">
        <v>0.7</v>
      </c>
      <c r="J24" s="16" t="s">
        <v>30</v>
      </c>
    </row>
    <row r="25" spans="2:12" ht="25.8" customHeight="1" x14ac:dyDescent="0.3">
      <c r="B25" s="85" t="s">
        <v>68</v>
      </c>
      <c r="C25" s="86"/>
    </row>
    <row r="28" spans="2:12" x14ac:dyDescent="0.3">
      <c r="B28" s="27" t="s">
        <v>18</v>
      </c>
      <c r="C28" s="27" t="s">
        <v>19</v>
      </c>
      <c r="D28" s="27" t="s">
        <v>20</v>
      </c>
      <c r="E28" s="27" t="s">
        <v>21</v>
      </c>
    </row>
    <row r="29" spans="2:12" x14ac:dyDescent="0.3">
      <c r="B29" s="23" t="s">
        <v>22</v>
      </c>
      <c r="C29" s="23" t="s">
        <v>25</v>
      </c>
      <c r="D29" s="19">
        <v>0.02</v>
      </c>
      <c r="E29" s="19">
        <v>0.12</v>
      </c>
    </row>
    <row r="30" spans="2:12" x14ac:dyDescent="0.3">
      <c r="B30" s="23" t="s">
        <v>23</v>
      </c>
      <c r="C30" s="24" t="s">
        <v>26</v>
      </c>
      <c r="D30" s="19">
        <v>0.03</v>
      </c>
      <c r="E30" s="19">
        <v>0.13</v>
      </c>
    </row>
    <row r="31" spans="2:12" x14ac:dyDescent="0.3">
      <c r="B31" s="23" t="s">
        <v>24</v>
      </c>
      <c r="C31" s="24" t="s">
        <v>51</v>
      </c>
      <c r="D31" s="19">
        <v>0.04</v>
      </c>
      <c r="E31" s="19">
        <v>0.14000000000000001</v>
      </c>
    </row>
    <row r="32" spans="2:12" x14ac:dyDescent="0.3">
      <c r="B32" s="23" t="s">
        <v>147</v>
      </c>
      <c r="C32" s="23">
        <v>0</v>
      </c>
      <c r="D32" s="19">
        <v>0.05</v>
      </c>
      <c r="E32" s="19">
        <v>0.15</v>
      </c>
    </row>
    <row r="35" spans="2:5" ht="52.2" customHeight="1" x14ac:dyDescent="0.3">
      <c r="C35" s="29" t="s">
        <v>67</v>
      </c>
      <c r="D35" s="29" t="s">
        <v>20</v>
      </c>
      <c r="E35" s="29" t="s">
        <v>21</v>
      </c>
    </row>
    <row r="36" spans="2:5" x14ac:dyDescent="0.3">
      <c r="B36" s="25"/>
      <c r="C36" s="19">
        <v>0.05</v>
      </c>
      <c r="D36" s="28">
        <v>-0.01</v>
      </c>
      <c r="E36" s="28">
        <v>-0.01</v>
      </c>
    </row>
    <row r="37" spans="2:5" x14ac:dyDescent="0.3">
      <c r="B37" s="25"/>
      <c r="C37" s="19">
        <v>0.1</v>
      </c>
      <c r="D37" s="28">
        <v>-0.02</v>
      </c>
      <c r="E37" s="28">
        <v>-0.02</v>
      </c>
    </row>
    <row r="38" spans="2:5" x14ac:dyDescent="0.3">
      <c r="B38" s="25"/>
      <c r="C38" s="19">
        <v>0.15</v>
      </c>
      <c r="D38" s="28">
        <v>-0.03</v>
      </c>
      <c r="E38" s="28">
        <v>-0.03</v>
      </c>
    </row>
  </sheetData>
  <mergeCells count="4">
    <mergeCell ref="B12:C12"/>
    <mergeCell ref="B20:C20"/>
    <mergeCell ref="B25:C25"/>
    <mergeCell ref="B17:C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D20" sqref="D20"/>
    </sheetView>
  </sheetViews>
  <sheetFormatPr defaultRowHeight="14.4" x14ac:dyDescent="0.3"/>
  <cols>
    <col min="1" max="1" width="21.5546875" customWidth="1"/>
    <col min="3" max="3" width="14.109375" bestFit="1" customWidth="1"/>
    <col min="4" max="5" width="11.109375" bestFit="1" customWidth="1"/>
  </cols>
  <sheetData>
    <row r="1" spans="1:9" x14ac:dyDescent="0.3">
      <c r="A1" s="54" t="s">
        <v>138</v>
      </c>
      <c r="I1" s="55" t="s">
        <v>76</v>
      </c>
    </row>
    <row r="2" spans="1:9" x14ac:dyDescent="0.3">
      <c r="A2" s="53" t="s">
        <v>94</v>
      </c>
      <c r="I2" s="53">
        <v>6</v>
      </c>
    </row>
    <row r="3" spans="1:9" x14ac:dyDescent="0.3">
      <c r="A3" s="53" t="s">
        <v>95</v>
      </c>
      <c r="C3" t="s">
        <v>35</v>
      </c>
      <c r="D3" s="59">
        <f>IF('LOAN QUOTE'!$E$9='FL &amp; TN'!$A$9,'LOAN QUOTE'!C24,IF('LOAN QUOTE'!$E$9='FL &amp; TN'!$A$38,'LOAN QUOTE'!C24,0))</f>
        <v>0</v>
      </c>
      <c r="I3" s="53">
        <v>9</v>
      </c>
    </row>
    <row r="4" spans="1:9" x14ac:dyDescent="0.3">
      <c r="A4" s="53" t="s">
        <v>96</v>
      </c>
      <c r="C4" t="s">
        <v>76</v>
      </c>
      <c r="D4">
        <f>IF('LOAN QUOTE'!$E$9='FL &amp; TN'!$A$9,'LOAN QUOTE'!E10,IF('LOAN QUOTE'!$E$9='FL &amp; TN'!$A$38,'LOAN QUOTE'!E10,0))</f>
        <v>0</v>
      </c>
      <c r="I4" s="53">
        <v>12</v>
      </c>
    </row>
    <row r="5" spans="1:9" x14ac:dyDescent="0.3">
      <c r="A5" s="53" t="s">
        <v>97</v>
      </c>
      <c r="C5" t="s">
        <v>140</v>
      </c>
      <c r="D5" s="58">
        <f>MIN('LOAN QUOTE'!E27:E28)</f>
        <v>0.02</v>
      </c>
      <c r="E5" s="59">
        <f>IF(D3&gt;0,(($D$3*$D$5)/$D$4)*12,0)</f>
        <v>0</v>
      </c>
      <c r="I5" s="53">
        <v>18</v>
      </c>
    </row>
    <row r="6" spans="1:9" x14ac:dyDescent="0.3">
      <c r="A6" s="53" t="s">
        <v>98</v>
      </c>
      <c r="C6" t="s">
        <v>141</v>
      </c>
      <c r="D6" s="58">
        <f>MIN('LOAN QUOTE'!F27:F28)</f>
        <v>0.12</v>
      </c>
      <c r="E6" s="59">
        <f>IF(D3&gt;0,D3*D6,0)</f>
        <v>0</v>
      </c>
      <c r="I6" s="53">
        <v>24</v>
      </c>
    </row>
    <row r="7" spans="1:9" x14ac:dyDescent="0.3">
      <c r="A7" s="53" t="s">
        <v>99</v>
      </c>
      <c r="C7" t="s">
        <v>142</v>
      </c>
      <c r="D7">
        <v>997</v>
      </c>
      <c r="E7" s="59">
        <f>D7</f>
        <v>997</v>
      </c>
    </row>
    <row r="8" spans="1:9" x14ac:dyDescent="0.3">
      <c r="A8" s="53" t="s">
        <v>100</v>
      </c>
      <c r="C8" t="s">
        <v>143</v>
      </c>
      <c r="D8">
        <f>200+15*D4</f>
        <v>200</v>
      </c>
      <c r="E8" s="59">
        <f>D8</f>
        <v>200</v>
      </c>
    </row>
    <row r="9" spans="1:9" x14ac:dyDescent="0.3">
      <c r="A9" s="53" t="s">
        <v>101</v>
      </c>
      <c r="E9" s="59"/>
    </row>
    <row r="10" spans="1:9" x14ac:dyDescent="0.3">
      <c r="A10" s="53" t="s">
        <v>102</v>
      </c>
      <c r="E10" s="63">
        <f>SUM(E5:E9)</f>
        <v>1197</v>
      </c>
    </row>
    <row r="11" spans="1:9" x14ac:dyDescent="0.3">
      <c r="A11" s="53" t="s">
        <v>103</v>
      </c>
      <c r="E11" s="65">
        <f>IF(D3&gt;0,(E10/D3)/(D4/12),0)</f>
        <v>0</v>
      </c>
    </row>
    <row r="12" spans="1:9" x14ac:dyDescent="0.3">
      <c r="A12" s="53" t="s">
        <v>104</v>
      </c>
      <c r="D12" s="64">
        <f>IF(E11&gt;0.18,E11-0.18,0)</f>
        <v>0</v>
      </c>
    </row>
    <row r="13" spans="1:9" x14ac:dyDescent="0.3">
      <c r="A13" s="53" t="s">
        <v>105</v>
      </c>
      <c r="D13" s="58"/>
    </row>
    <row r="14" spans="1:9" x14ac:dyDescent="0.3">
      <c r="A14" s="53" t="s">
        <v>106</v>
      </c>
      <c r="D14" s="58"/>
    </row>
    <row r="15" spans="1:9" x14ac:dyDescent="0.3">
      <c r="A15" s="53" t="s">
        <v>107</v>
      </c>
    </row>
    <row r="16" spans="1:9" x14ac:dyDescent="0.3">
      <c r="A16" s="53" t="s">
        <v>108</v>
      </c>
    </row>
    <row r="17" spans="1:1" x14ac:dyDescent="0.3">
      <c r="A17" s="53" t="s">
        <v>109</v>
      </c>
    </row>
    <row r="18" spans="1:1" x14ac:dyDescent="0.3">
      <c r="A18" s="53" t="s">
        <v>110</v>
      </c>
    </row>
    <row r="19" spans="1:1" x14ac:dyDescent="0.3">
      <c r="A19" s="53" t="s">
        <v>111</v>
      </c>
    </row>
    <row r="20" spans="1:1" x14ac:dyDescent="0.3">
      <c r="A20" s="53" t="s">
        <v>112</v>
      </c>
    </row>
    <row r="21" spans="1:1" x14ac:dyDescent="0.3">
      <c r="A21" s="53" t="s">
        <v>113</v>
      </c>
    </row>
    <row r="22" spans="1:1" x14ac:dyDescent="0.3">
      <c r="A22" s="53" t="s">
        <v>114</v>
      </c>
    </row>
    <row r="23" spans="1:1" x14ac:dyDescent="0.3">
      <c r="A23" s="53" t="s">
        <v>115</v>
      </c>
    </row>
    <row r="24" spans="1:1" x14ac:dyDescent="0.3">
      <c r="A24" s="53" t="s">
        <v>116</v>
      </c>
    </row>
    <row r="25" spans="1:1" x14ac:dyDescent="0.3">
      <c r="A25" s="53" t="s">
        <v>117</v>
      </c>
    </row>
    <row r="26" spans="1:1" x14ac:dyDescent="0.3">
      <c r="A26" s="53" t="s">
        <v>118</v>
      </c>
    </row>
    <row r="27" spans="1:1" x14ac:dyDescent="0.3">
      <c r="A27" s="53" t="s">
        <v>119</v>
      </c>
    </row>
    <row r="28" spans="1:1" x14ac:dyDescent="0.3">
      <c r="A28" s="53" t="s">
        <v>120</v>
      </c>
    </row>
    <row r="29" spans="1:1" ht="16.2" customHeight="1" x14ac:dyDescent="0.3">
      <c r="A29" s="53" t="s">
        <v>121</v>
      </c>
    </row>
    <row r="30" spans="1:1" ht="16.2" customHeight="1" x14ac:dyDescent="0.3">
      <c r="A30" s="53" t="s">
        <v>122</v>
      </c>
    </row>
    <row r="31" spans="1:1" ht="16.2" customHeight="1" x14ac:dyDescent="0.3">
      <c r="A31" s="53" t="s">
        <v>123</v>
      </c>
    </row>
    <row r="32" spans="1:1" ht="16.2" customHeight="1" x14ac:dyDescent="0.3">
      <c r="A32" s="53" t="s">
        <v>124</v>
      </c>
    </row>
    <row r="33" spans="1:1" ht="16.2" customHeight="1" x14ac:dyDescent="0.3">
      <c r="A33" s="53" t="s">
        <v>125</v>
      </c>
    </row>
    <row r="34" spans="1:1" ht="16.2" customHeight="1" x14ac:dyDescent="0.3">
      <c r="A34" s="53" t="s">
        <v>126</v>
      </c>
    </row>
    <row r="35" spans="1:1" ht="16.2" customHeight="1" x14ac:dyDescent="0.3">
      <c r="A35" s="53" t="s">
        <v>127</v>
      </c>
    </row>
    <row r="36" spans="1:1" ht="16.2" customHeight="1" x14ac:dyDescent="0.3">
      <c r="A36" s="53" t="s">
        <v>128</v>
      </c>
    </row>
    <row r="37" spans="1:1" ht="16.2" customHeight="1" x14ac:dyDescent="0.3">
      <c r="A37" s="53" t="s">
        <v>129</v>
      </c>
    </row>
    <row r="38" spans="1:1" ht="16.2" customHeight="1" x14ac:dyDescent="0.3">
      <c r="A38" s="53" t="s">
        <v>130</v>
      </c>
    </row>
    <row r="39" spans="1:1" ht="16.2" customHeight="1" x14ac:dyDescent="0.3">
      <c r="A39" s="53" t="s">
        <v>131</v>
      </c>
    </row>
    <row r="40" spans="1:1" ht="16.2" customHeight="1" x14ac:dyDescent="0.3">
      <c r="A40" s="53" t="s">
        <v>132</v>
      </c>
    </row>
    <row r="41" spans="1:1" ht="16.2" customHeight="1" x14ac:dyDescent="0.3">
      <c r="A41" s="53" t="s">
        <v>133</v>
      </c>
    </row>
    <row r="42" spans="1:1" ht="16.2" customHeight="1" x14ac:dyDescent="0.3">
      <c r="A42" s="53" t="s">
        <v>134</v>
      </c>
    </row>
    <row r="43" spans="1:1" ht="16.2" customHeight="1" x14ac:dyDescent="0.3">
      <c r="A43" s="53" t="s">
        <v>135</v>
      </c>
    </row>
    <row r="44" spans="1:1" ht="16.2" customHeight="1" x14ac:dyDescent="0.3">
      <c r="A44" s="53" t="s">
        <v>136</v>
      </c>
    </row>
    <row r="45" spans="1:1" ht="16.2" customHeight="1" x14ac:dyDescent="0.3">
      <c r="A45" s="53" t="s">
        <v>137</v>
      </c>
    </row>
    <row r="46" spans="1:1" ht="16.2" customHeight="1" x14ac:dyDescent="0.3">
      <c r="A46" s="53" t="s">
        <v>136</v>
      </c>
    </row>
    <row r="47" spans="1:1" ht="16.2" customHeight="1" x14ac:dyDescent="0.3">
      <c r="A47" s="53" t="s">
        <v>137</v>
      </c>
    </row>
    <row r="48" spans="1:1" ht="16.2" customHeight="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54"/>
  <sheetViews>
    <sheetView showGridLines="0" tabSelected="1" topLeftCell="A23" workbookViewId="0">
      <selection activeCell="E36" sqref="E36"/>
    </sheetView>
  </sheetViews>
  <sheetFormatPr defaultColWidth="0" defaultRowHeight="15.6" zeroHeight="1" x14ac:dyDescent="0.3"/>
  <cols>
    <col min="1" max="1" width="3.21875" customWidth="1"/>
    <col min="2" max="2" width="38.6640625" style="3" bestFit="1" customWidth="1"/>
    <col min="3" max="3" width="18.33203125" style="3" customWidth="1"/>
    <col min="4" max="4" width="4.44140625" style="60" customWidth="1"/>
    <col min="5" max="7" width="22" style="3" customWidth="1"/>
    <col min="8" max="8" width="8.88671875" style="2" customWidth="1"/>
    <col min="9" max="16384" width="8.88671875" hidden="1"/>
  </cols>
  <sheetData>
    <row r="1" spans="2:8" x14ac:dyDescent="0.3"/>
    <row r="2" spans="2:8" x14ac:dyDescent="0.3"/>
    <row r="3" spans="2:8" x14ac:dyDescent="0.3"/>
    <row r="4" spans="2:8" x14ac:dyDescent="0.3"/>
    <row r="5" spans="2:8" ht="26.4" customHeight="1" x14ac:dyDescent="0.3"/>
    <row r="6" spans="2:8" s="1" customFormat="1" ht="23.4" x14ac:dyDescent="0.45">
      <c r="B6" s="98" t="s">
        <v>53</v>
      </c>
      <c r="C6" s="98"/>
      <c r="D6" s="98"/>
      <c r="E6" s="98"/>
      <c r="F6" s="98"/>
      <c r="G6" s="98"/>
      <c r="H6" s="12"/>
    </row>
    <row r="7" spans="2:8" x14ac:dyDescent="0.3">
      <c r="E7" s="73"/>
      <c r="F7" s="73"/>
      <c r="G7" s="73"/>
      <c r="H7" s="16"/>
    </row>
    <row r="8" spans="2:8" x14ac:dyDescent="0.3">
      <c r="E8" s="73"/>
      <c r="F8" s="73"/>
      <c r="G8" s="73"/>
      <c r="H8" s="16"/>
    </row>
    <row r="9" spans="2:8" x14ac:dyDescent="0.3">
      <c r="B9" s="3" t="s">
        <v>38</v>
      </c>
      <c r="C9" s="4" t="s">
        <v>28</v>
      </c>
      <c r="D9" s="66"/>
      <c r="E9" s="4" t="s">
        <v>126</v>
      </c>
      <c r="F9" s="73" t="s">
        <v>93</v>
      </c>
      <c r="G9" s="74"/>
      <c r="H9" s="75"/>
    </row>
    <row r="10" spans="2:8" x14ac:dyDescent="0.3">
      <c r="B10" s="3" t="s">
        <v>29</v>
      </c>
      <c r="C10" s="4" t="s">
        <v>30</v>
      </c>
      <c r="D10" s="66"/>
      <c r="E10" s="56">
        <v>18</v>
      </c>
      <c r="F10" s="73" t="s">
        <v>139</v>
      </c>
      <c r="G10" s="74"/>
      <c r="H10" s="75"/>
    </row>
    <row r="11" spans="2:8" x14ac:dyDescent="0.3">
      <c r="B11" s="3" t="s">
        <v>70</v>
      </c>
      <c r="C11" s="4" t="s">
        <v>30</v>
      </c>
      <c r="D11" s="66"/>
      <c r="E11" s="73"/>
      <c r="F11" s="74"/>
      <c r="G11" s="104" t="str">
        <f>IF(C11="No","No","Yes")</f>
        <v>No</v>
      </c>
      <c r="H11" s="75"/>
    </row>
    <row r="12" spans="2:8" s="36" customFormat="1" ht="32.4" customHeight="1" x14ac:dyDescent="0.3">
      <c r="B12" s="37" t="s">
        <v>86</v>
      </c>
      <c r="C12" s="38">
        <v>18</v>
      </c>
      <c r="D12" s="67"/>
      <c r="E12" s="76"/>
      <c r="F12" s="77"/>
      <c r="G12" s="78"/>
      <c r="H12" s="79"/>
    </row>
    <row r="13" spans="2:8" x14ac:dyDescent="0.3">
      <c r="D13" s="66"/>
      <c r="E13" s="74"/>
      <c r="F13" s="74"/>
      <c r="G13" s="74"/>
      <c r="H13" s="75"/>
    </row>
    <row r="14" spans="2:8" x14ac:dyDescent="0.3">
      <c r="B14" s="3" t="s">
        <v>32</v>
      </c>
      <c r="C14" s="5">
        <v>80000</v>
      </c>
      <c r="D14" s="68"/>
      <c r="E14" s="74"/>
      <c r="F14" s="74"/>
      <c r="G14" s="74"/>
      <c r="H14" s="75"/>
    </row>
    <row r="15" spans="2:8" x14ac:dyDescent="0.3">
      <c r="B15" s="3" t="s">
        <v>33</v>
      </c>
      <c r="C15" s="5"/>
      <c r="D15" s="68"/>
      <c r="E15" s="74"/>
      <c r="F15" s="74"/>
      <c r="G15" s="74"/>
      <c r="H15" s="75"/>
    </row>
    <row r="16" spans="2:8" x14ac:dyDescent="0.3">
      <c r="B16" s="3" t="s">
        <v>34</v>
      </c>
      <c r="C16" s="6">
        <f>SUM(C14:C15)</f>
        <v>80000</v>
      </c>
      <c r="D16" s="68"/>
      <c r="E16" s="74"/>
      <c r="F16" s="74"/>
      <c r="G16" s="74"/>
      <c r="H16" s="75"/>
    </row>
    <row r="17" spans="2:8" x14ac:dyDescent="0.3">
      <c r="C17" s="6"/>
      <c r="D17" s="68"/>
      <c r="E17" s="74"/>
      <c r="F17" s="74"/>
      <c r="G17" s="74"/>
      <c r="H17" s="75"/>
    </row>
    <row r="18" spans="2:8" x14ac:dyDescent="0.3">
      <c r="B18" s="3" t="s">
        <v>49</v>
      </c>
      <c r="C18" s="5">
        <v>100000</v>
      </c>
      <c r="D18" s="68"/>
      <c r="E18" s="74"/>
      <c r="F18" s="74"/>
      <c r="G18" s="74"/>
      <c r="H18" s="75"/>
    </row>
    <row r="19" spans="2:8" x14ac:dyDescent="0.3">
      <c r="B19" s="3" t="s">
        <v>50</v>
      </c>
      <c r="C19" s="6"/>
      <c r="D19" s="68"/>
      <c r="E19" s="74"/>
      <c r="F19" s="74"/>
      <c r="G19" s="74"/>
      <c r="H19" s="75"/>
    </row>
    <row r="20" spans="2:8" x14ac:dyDescent="0.3">
      <c r="C20" s="6"/>
      <c r="D20" s="68"/>
      <c r="E20" s="105" t="s">
        <v>48</v>
      </c>
      <c r="F20" s="105" t="s">
        <v>47</v>
      </c>
      <c r="G20" s="106" t="s">
        <v>46</v>
      </c>
      <c r="H20" s="75"/>
    </row>
    <row r="21" spans="2:8" x14ac:dyDescent="0.3">
      <c r="B21" s="3" t="s">
        <v>36</v>
      </c>
      <c r="C21" s="6">
        <f>IF(C9='DATA SHEET'!J12,MIN(IF(C9='DATA SHEET'!J12,IF('LOAN QUOTE'!E21=0,'LOAN QUOTE'!F21,MIN(E21:F21)),MIN(E21:F21)),'LOAN QUOTE'!G21),MIN(E21,F21))</f>
        <v>65000</v>
      </c>
      <c r="D21" s="68"/>
      <c r="E21" s="107">
        <f>IF(C9="Cashout",F21,IF(C10="No",C14*'DATA SHEET'!C13+'LOAN QUOTE'!C15*'DATA SHEET'!C14,C14*'DATA SHEET'!C21+'LOAN QUOTE'!C15*'DATA SHEET'!C22))</f>
        <v>72000</v>
      </c>
      <c r="F21" s="107">
        <f>C18*(IF(G11="No",(IF(C9='DATA SHEET'!J12,'DATA SHEET'!K12,IF('LOAN QUOTE'!C10="Yes",'DATA SHEET'!C24,'DATA SHEET'!C16))),'DATA SHEET'!L20))</f>
        <v>65000</v>
      </c>
      <c r="G21" s="108">
        <v>75000</v>
      </c>
      <c r="H21" s="75"/>
    </row>
    <row r="22" spans="2:8" x14ac:dyDescent="0.3">
      <c r="B22" s="3" t="s">
        <v>144</v>
      </c>
      <c r="C22" s="7">
        <f>C21*D22</f>
        <v>1300</v>
      </c>
      <c r="D22" s="83">
        <v>0.02</v>
      </c>
      <c r="E22" s="107"/>
      <c r="F22" s="107"/>
      <c r="G22" s="108"/>
      <c r="H22" s="75"/>
    </row>
    <row r="23" spans="2:8" ht="16.2" thickBot="1" x14ac:dyDescent="0.35">
      <c r="B23" s="3" t="s">
        <v>145</v>
      </c>
      <c r="C23" s="7">
        <f>C21*0.1-C22</f>
        <v>5200</v>
      </c>
      <c r="D23" s="69"/>
      <c r="E23" s="106"/>
      <c r="F23" s="106"/>
      <c r="G23" s="109">
        <f>MIN(IF(C15=0,MIN(G21,F21+C23),MIN(E21+C23,F21)),F21)</f>
        <v>65000</v>
      </c>
      <c r="H23" s="75"/>
    </row>
    <row r="24" spans="2:8" ht="16.2" thickBot="1" x14ac:dyDescent="0.35">
      <c r="B24" s="8" t="s">
        <v>37</v>
      </c>
      <c r="C24" s="33">
        <f>IF(C10="No",C21,MIN((C21+C23+C22),F21))</f>
        <v>65000</v>
      </c>
      <c r="D24" s="70"/>
      <c r="E24" s="106"/>
      <c r="F24" s="106"/>
      <c r="G24" s="109"/>
      <c r="H24" s="75"/>
    </row>
    <row r="25" spans="2:8" x14ac:dyDescent="0.3">
      <c r="B25" s="35" t="str">
        <f>IF(C24="ERROR","Minimum Loan Amount is $30,000 please rework the calculations","")</f>
        <v/>
      </c>
      <c r="C25" s="34"/>
      <c r="D25" s="71"/>
      <c r="E25" s="106"/>
      <c r="F25" s="106"/>
      <c r="G25" s="106"/>
      <c r="H25" s="75"/>
    </row>
    <row r="26" spans="2:8" x14ac:dyDescent="0.3">
      <c r="B26" s="34"/>
      <c r="C26" s="34"/>
      <c r="D26" s="71"/>
      <c r="E26" s="74"/>
      <c r="F26" s="74"/>
      <c r="G26" s="74"/>
      <c r="H26" s="75"/>
    </row>
    <row r="27" spans="2:8" x14ac:dyDescent="0.3">
      <c r="B27" s="3" t="s">
        <v>39</v>
      </c>
      <c r="C27" s="9" t="s">
        <v>23</v>
      </c>
      <c r="D27" s="72"/>
      <c r="E27" s="110">
        <f>IF('LOAN QUOTE'!C27='DATA SHEET'!B29,'DATA SHEET'!D29,IF('LOAN QUOTE'!C27='DATA SHEET'!B30,'DATA SHEET'!D30,IF('LOAN QUOTE'!C27='DATA SHEET'!B31,'DATA SHEET'!D31,'DATA SHEET'!D32)))</f>
        <v>0.03</v>
      </c>
      <c r="F27" s="110">
        <f>IF('LOAN QUOTE'!C27='DATA SHEET'!B29,'DATA SHEET'!E29,IF('LOAN QUOTE'!C27='DATA SHEET'!B30,'DATA SHEET'!E30,IF('LOAN QUOTE'!C27='DATA SHEET'!B31,'DATA SHEET'!E31,'DATA SHEET'!E32)))</f>
        <v>0.13</v>
      </c>
      <c r="G27" s="110">
        <f>IF('FL &amp; TN'!D3&gt;0,IF('FL &amp; TN'!D12&gt;0%,"Recalculate Loan Term",MIN(E27,E28)),MIN(E27,E28))</f>
        <v>0.02</v>
      </c>
      <c r="H27" s="75"/>
    </row>
    <row r="28" spans="2:8" x14ac:dyDescent="0.3">
      <c r="B28" s="3" t="s">
        <v>52</v>
      </c>
      <c r="C28" s="9" t="s">
        <v>25</v>
      </c>
      <c r="D28" s="72"/>
      <c r="E28" s="110">
        <f>IF(C28='DATA SHEET'!C29,'DATA SHEET'!D29,IF(C28='DATA SHEET'!C30,'DATA SHEET'!D30,IF(C28='DATA SHEET'!C31,'DATA SHEET'!D31,'DATA SHEET'!D32)))</f>
        <v>0.02</v>
      </c>
      <c r="F28" s="110">
        <f>IF(C28='DATA SHEET'!C29,'DATA SHEET'!E29,IF(C28='DATA SHEET'!C30,'DATA SHEET'!E30,IF(C28='DATA SHEET'!C31,'DATA SHEET'!E31,'DATA SHEET'!E32)))</f>
        <v>0.12</v>
      </c>
      <c r="G28" s="110">
        <f>IF('FL &amp; TN'!D3&gt;0,IF('FL &amp; TN'!D12&gt;0%,"Recalculate Loan Term",MIN(F27,F28)),MIN(F27,F28))</f>
        <v>0.12</v>
      </c>
      <c r="H28" s="75"/>
    </row>
    <row r="29" spans="2:8" x14ac:dyDescent="0.3">
      <c r="D29" s="66"/>
      <c r="E29" s="73"/>
      <c r="F29" s="73"/>
      <c r="G29" s="73"/>
      <c r="H29" s="16"/>
    </row>
    <row r="30" spans="2:8" x14ac:dyDescent="0.3">
      <c r="B30" s="57"/>
      <c r="C30" s="100" t="s">
        <v>54</v>
      </c>
      <c r="D30" s="100"/>
      <c r="E30" s="80" t="s">
        <v>55</v>
      </c>
      <c r="F30" s="80" t="s">
        <v>56</v>
      </c>
      <c r="G30" s="80" t="s">
        <v>57</v>
      </c>
      <c r="H30" s="16"/>
    </row>
    <row r="31" spans="2:8" x14ac:dyDescent="0.3">
      <c r="B31" s="10"/>
      <c r="C31" s="100" t="s">
        <v>45</v>
      </c>
      <c r="D31" s="100"/>
      <c r="E31" s="80" t="s">
        <v>44</v>
      </c>
      <c r="F31" s="80" t="s">
        <v>43</v>
      </c>
      <c r="G31" s="80" t="s">
        <v>42</v>
      </c>
      <c r="H31" s="16"/>
    </row>
    <row r="32" spans="2:8" x14ac:dyDescent="0.3">
      <c r="B32" s="11" t="s">
        <v>63</v>
      </c>
      <c r="C32" s="97">
        <f>C16-C24+C23+C22</f>
        <v>21500</v>
      </c>
      <c r="D32" s="97"/>
      <c r="E32" s="81">
        <f>IF(C9='DATA SHEET'!J12,0,C32+('DATA SHEET'!C36*'LOAN QUOTE'!C24))</f>
        <v>24750</v>
      </c>
      <c r="F32" s="81">
        <f>IF(C9='DATA SHEET'!J12,0,C32+(C24*'DATA SHEET'!C37))</f>
        <v>28000</v>
      </c>
      <c r="G32" s="81">
        <f>IF(C9='DATA SHEET'!J12,0,C32+('DATA SHEET'!C38*'LOAN QUOTE'!C24))</f>
        <v>31250</v>
      </c>
      <c r="H32" s="16"/>
    </row>
    <row r="33" spans="2:8" x14ac:dyDescent="0.3">
      <c r="B33" s="11" t="s">
        <v>40</v>
      </c>
      <c r="C33" s="101">
        <f>IF('FL &amp; TN'!D3&gt;0,'LOAN QUOTE'!G27,MIN(E27,E28))</f>
        <v>0.02</v>
      </c>
      <c r="D33" s="101"/>
      <c r="E33" s="82">
        <f>IF(C33&lt;0.01,0,IF(C9='DATA SHEET'!J12,0,C33+'DATA SHEET'!D36))</f>
        <v>0.01</v>
      </c>
      <c r="F33" s="82">
        <f>IF(C9='DATA SHEET'!J12,0,IF((C33+'DATA SHEET'!D37)&lt;0,0,C33+'DATA SHEET'!D37))</f>
        <v>0</v>
      </c>
      <c r="G33" s="82">
        <f>IF(C9='DATA SHEET'!J12,0,IF((C33+'DATA SHEET'!D38)&lt;0,0,C33+'DATA SHEET'!D38))</f>
        <v>0</v>
      </c>
      <c r="H33" s="16"/>
    </row>
    <row r="34" spans="2:8" x14ac:dyDescent="0.3">
      <c r="B34" s="11" t="s">
        <v>41</v>
      </c>
      <c r="C34" s="101">
        <f>IF('FL &amp; TN'!D3&gt;0,'LOAN QUOTE'!G28,MIN(F27,F28))</f>
        <v>0.12</v>
      </c>
      <c r="D34" s="101"/>
      <c r="E34" s="82">
        <f>IF(C34&lt;0.08,0,IF(C9='DATA SHEET'!J12,0,C34+'DATA SHEET'!E36))</f>
        <v>0.11</v>
      </c>
      <c r="F34" s="82">
        <f>IF(C9='DATA SHEET'!J12,0,IF((C33+'DATA SHEET'!D37)&lt;0,C34+'DATA SHEET'!E37+(C33+'DATA SHEET'!D37),C34+'DATA SHEET'!E37))</f>
        <v>9.9999999999999992E-2</v>
      </c>
      <c r="G34" s="82">
        <f>IF(C9='DATA SHEET'!J12,0,IF((C33+'DATA SHEET'!D38)&lt;0,C34+'DATA SHEET'!E38+(C33+'DATA SHEET'!D38),C34+'DATA SHEET'!E38))</f>
        <v>0.08</v>
      </c>
      <c r="H34" s="16"/>
    </row>
    <row r="35" spans="2:8" x14ac:dyDescent="0.3">
      <c r="B35" s="11" t="s">
        <v>35</v>
      </c>
      <c r="C35" s="97">
        <f>C24</f>
        <v>65000</v>
      </c>
      <c r="D35" s="97"/>
      <c r="E35" s="81">
        <f>IF(C9='DATA SHEET'!J12,0,$C$24-(E32-$C$32))</f>
        <v>61750</v>
      </c>
      <c r="F35" s="81">
        <f>IF(C9='DATA SHEET'!J12,0,$C$24-(F32-$C$32))</f>
        <v>58500</v>
      </c>
      <c r="G35" s="81">
        <f>IF(C9='DATA SHEET'!J12,0,$C$24-(G32-$C$32))</f>
        <v>55250</v>
      </c>
      <c r="H35" s="16"/>
    </row>
    <row r="36" spans="2:8" x14ac:dyDescent="0.3">
      <c r="B36" s="11" t="s">
        <v>64</v>
      </c>
      <c r="C36" s="97">
        <f>((C35*C34)/360)*30</f>
        <v>650</v>
      </c>
      <c r="D36" s="97"/>
      <c r="E36" s="81">
        <f>((E35*E34)/360)*30</f>
        <v>566.04166666666674</v>
      </c>
      <c r="F36" s="81">
        <f>((F35*F34)/360)*30</f>
        <v>487.49999999999989</v>
      </c>
      <c r="G36" s="81">
        <f>((G35*G34)/360)*30</f>
        <v>368.33333333333337</v>
      </c>
      <c r="H36" s="16"/>
    </row>
    <row r="37" spans="2:8" x14ac:dyDescent="0.3">
      <c r="E37" s="7"/>
    </row>
    <row r="38" spans="2:8" s="14" customFormat="1" ht="37.799999999999997" customHeight="1" x14ac:dyDescent="0.3">
      <c r="B38" s="99" t="s">
        <v>75</v>
      </c>
      <c r="C38" s="99"/>
      <c r="D38" s="99"/>
      <c r="E38" s="99"/>
      <c r="F38" s="99"/>
      <c r="G38" s="99"/>
      <c r="H38" s="13"/>
    </row>
    <row r="39" spans="2:8" s="14" customFormat="1" ht="15" customHeight="1" thickBot="1" x14ac:dyDescent="0.35">
      <c r="B39" s="15"/>
      <c r="C39" s="15"/>
      <c r="D39" s="61"/>
      <c r="E39" s="15"/>
      <c r="F39" s="15"/>
      <c r="G39" s="15"/>
      <c r="H39" s="13"/>
    </row>
    <row r="40" spans="2:8" s="14" customFormat="1" ht="19.8" customHeight="1" x14ac:dyDescent="0.3">
      <c r="B40" s="88" t="s">
        <v>62</v>
      </c>
      <c r="C40" s="89"/>
      <c r="D40" s="89"/>
      <c r="E40" s="89"/>
      <c r="F40" s="89"/>
      <c r="G40" s="90"/>
      <c r="H40" s="13"/>
    </row>
    <row r="41" spans="2:8" s="14" customFormat="1" ht="19.8" customHeight="1" x14ac:dyDescent="0.3">
      <c r="B41" s="91" t="s">
        <v>65</v>
      </c>
      <c r="C41" s="92"/>
      <c r="D41" s="92"/>
      <c r="E41" s="92"/>
      <c r="F41" s="92"/>
      <c r="G41" s="93"/>
      <c r="H41" s="13"/>
    </row>
    <row r="42" spans="2:8" s="14" customFormat="1" ht="31.2" customHeight="1" x14ac:dyDescent="0.3">
      <c r="B42" s="91" t="s">
        <v>146</v>
      </c>
      <c r="C42" s="92"/>
      <c r="D42" s="92"/>
      <c r="E42" s="92"/>
      <c r="F42" s="92"/>
      <c r="G42" s="93"/>
      <c r="H42" s="13"/>
    </row>
    <row r="43" spans="2:8" s="14" customFormat="1" ht="31.2" customHeight="1" x14ac:dyDescent="0.3">
      <c r="B43" s="91" t="s">
        <v>69</v>
      </c>
      <c r="C43" s="92"/>
      <c r="D43" s="92"/>
      <c r="E43" s="92"/>
      <c r="F43" s="92"/>
      <c r="G43" s="93"/>
      <c r="H43" s="13"/>
    </row>
    <row r="44" spans="2:8" s="14" customFormat="1" ht="50.4" customHeight="1" thickBot="1" x14ac:dyDescent="0.35">
      <c r="B44" s="94" t="s">
        <v>66</v>
      </c>
      <c r="C44" s="95"/>
      <c r="D44" s="95"/>
      <c r="E44" s="95"/>
      <c r="F44" s="95"/>
      <c r="G44" s="96"/>
      <c r="H44" s="13"/>
    </row>
    <row r="45" spans="2:8" x14ac:dyDescent="0.3"/>
    <row r="46" spans="2:8" ht="25.2" customHeight="1" x14ac:dyDescent="0.3">
      <c r="B46" s="87"/>
      <c r="C46" s="87"/>
      <c r="D46" s="62"/>
      <c r="F46" s="87"/>
      <c r="G46" s="87"/>
    </row>
    <row r="47" spans="2:8" x14ac:dyDescent="0.3">
      <c r="B47" s="3" t="s">
        <v>58</v>
      </c>
      <c r="F47" s="3" t="s">
        <v>61</v>
      </c>
    </row>
    <row r="48" spans="2:8" ht="25.2" customHeight="1" x14ac:dyDescent="0.3">
      <c r="B48" s="87"/>
      <c r="C48" s="87"/>
      <c r="D48" s="62"/>
      <c r="F48" s="87"/>
      <c r="G48" s="87"/>
    </row>
    <row r="49" spans="2:6" x14ac:dyDescent="0.3">
      <c r="B49" s="3" t="s">
        <v>59</v>
      </c>
      <c r="F49" s="3" t="s">
        <v>60</v>
      </c>
    </row>
    <row r="50" spans="2:6" x14ac:dyDescent="0.3"/>
    <row r="51" spans="2:6" x14ac:dyDescent="0.3"/>
    <row r="52" spans="2:6" x14ac:dyDescent="0.3"/>
    <row r="53" spans="2:6" x14ac:dyDescent="0.3"/>
    <row r="54" spans="2:6" x14ac:dyDescent="0.3"/>
  </sheetData>
  <sheetProtection algorithmName="SHA-512" hashValue="h2l3pUP1TWEkTGS9aL4HF2RDA9L/FLNiBTWxkz60wrCirvs/r67ozJ/ibKPV6V5ZJY/jWPLeUdP26AriNE65xA==" saltValue="KnCK/UzRdgWircIHIo7DpQ==" spinCount="100000" sheet="1" objects="1" scenarios="1"/>
  <mergeCells count="18">
    <mergeCell ref="C35:D35"/>
    <mergeCell ref="C36:D36"/>
    <mergeCell ref="B6:G6"/>
    <mergeCell ref="B38:G38"/>
    <mergeCell ref="B46:C46"/>
    <mergeCell ref="C30:D30"/>
    <mergeCell ref="C31:D31"/>
    <mergeCell ref="C32:D32"/>
    <mergeCell ref="C33:D33"/>
    <mergeCell ref="C34:D34"/>
    <mergeCell ref="B48:C48"/>
    <mergeCell ref="F46:G46"/>
    <mergeCell ref="F48:G48"/>
    <mergeCell ref="B40:G40"/>
    <mergeCell ref="B41:G41"/>
    <mergeCell ref="B42:G42"/>
    <mergeCell ref="B43:G43"/>
    <mergeCell ref="B44:G44"/>
  </mergeCells>
  <pageMargins left="0.25" right="0.25" top="0.75" bottom="0.75" header="0.3" footer="0.3"/>
  <pageSetup scale="79" orientation="portrait"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'DATA SHEET'!$C$29:$C$32</xm:f>
          </x14:formula1>
          <xm:sqref>C28</xm:sqref>
        </x14:dataValidation>
        <x14:dataValidation type="list" allowBlank="1" showInputMessage="1" showErrorMessage="1">
          <x14:formula1>
            <xm:f>'DATA SHEET'!$J$10:$J$14</xm:f>
          </x14:formula1>
          <xm:sqref>C9:D9</xm:sqref>
        </x14:dataValidation>
        <x14:dataValidation type="list" allowBlank="1" showInputMessage="1" showErrorMessage="1">
          <x14:formula1>
            <xm:f>'DATA SHEET'!$J$17:$J$18</xm:f>
          </x14:formula1>
          <xm:sqref>C10:D10</xm:sqref>
        </x14:dataValidation>
        <x14:dataValidation type="list" allowBlank="1" showInputMessage="1" showErrorMessage="1">
          <x14:formula1>
            <xm:f>'DATA SHEET'!$B$29:$B$32</xm:f>
          </x14:formula1>
          <xm:sqref>C27</xm:sqref>
        </x14:dataValidation>
        <x14:dataValidation type="list" allowBlank="1" showInputMessage="1" showErrorMessage="1">
          <x14:formula1>
            <xm:f>'DATA SHEET'!$J$20:$J$24</xm:f>
          </x14:formula1>
          <xm:sqref>C11:D11</xm:sqref>
        </x14:dataValidation>
        <x14:dataValidation type="list" allowBlank="1" showInputMessage="1" showErrorMessage="1">
          <x14:formula1>
            <xm:f>'FL &amp; TN'!$I$2:$I$6</xm:f>
          </x14:formula1>
          <xm:sqref>E10</xm:sqref>
        </x14:dataValidation>
        <x14:dataValidation type="list" allowBlank="1" showInputMessage="1" showErrorMessage="1">
          <x14:formula1>
            <xm:f>'FL &amp; TN'!$A$2:$A$47</xm:f>
          </x14:formula1>
          <xm:sqref>E9</xm:sqref>
        </x14:dataValidation>
        <x14:dataValidation type="list" allowBlank="1" showInputMessage="1" showErrorMessage="1">
          <x14:formula1>
            <xm:f>'DATA SHEET'!$N$11:$N$14</xm:f>
          </x14:formula1>
          <xm:sqref>D22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26"/>
  <sheetViews>
    <sheetView showGridLines="0" topLeftCell="A7" workbookViewId="0">
      <selection activeCell="B31" sqref="B31"/>
    </sheetView>
  </sheetViews>
  <sheetFormatPr defaultRowHeight="14.4" x14ac:dyDescent="0.3"/>
  <cols>
    <col min="1" max="1" width="35.21875" style="2" bestFit="1" customWidth="1"/>
    <col min="2" max="5" width="12.109375" style="2" bestFit="1" customWidth="1"/>
    <col min="6" max="8" width="8.88671875" style="2"/>
  </cols>
  <sheetData>
    <row r="6" spans="1:8" ht="23.4" x14ac:dyDescent="0.45">
      <c r="A6" s="12" t="s">
        <v>88</v>
      </c>
    </row>
    <row r="8" spans="1:8" x14ac:dyDescent="0.3">
      <c r="A8" s="2" t="s">
        <v>87</v>
      </c>
      <c r="B8" s="2">
        <f>'LOAN QUOTE'!C12</f>
        <v>18</v>
      </c>
    </row>
    <row r="9" spans="1:8" x14ac:dyDescent="0.3">
      <c r="A9" s="2" t="s">
        <v>35</v>
      </c>
      <c r="B9" s="39">
        <f>'LOAN QUOTE'!C35</f>
        <v>65000</v>
      </c>
      <c r="C9" s="39">
        <f>'LOAN QUOTE'!E35</f>
        <v>61750</v>
      </c>
      <c r="D9" s="39">
        <f>'LOAN QUOTE'!F35</f>
        <v>58500</v>
      </c>
      <c r="E9" s="39">
        <f>'LOAN QUOTE'!G35</f>
        <v>55250</v>
      </c>
    </row>
    <row r="11" spans="1:8" s="41" customFormat="1" x14ac:dyDescent="0.3">
      <c r="A11" s="102" t="s">
        <v>89</v>
      </c>
      <c r="B11" s="48" t="s">
        <v>54</v>
      </c>
      <c r="C11" s="48" t="s">
        <v>55</v>
      </c>
      <c r="D11" s="48" t="s">
        <v>56</v>
      </c>
      <c r="E11" s="48" t="s">
        <v>57</v>
      </c>
      <c r="F11" s="40"/>
      <c r="G11" s="40"/>
      <c r="H11" s="40"/>
    </row>
    <row r="12" spans="1:8" s="43" customFormat="1" ht="13.8" x14ac:dyDescent="0.3">
      <c r="A12" s="103"/>
      <c r="B12" s="49" t="s">
        <v>45</v>
      </c>
      <c r="C12" s="49" t="s">
        <v>44</v>
      </c>
      <c r="D12" s="49" t="s">
        <v>43</v>
      </c>
      <c r="E12" s="49" t="s">
        <v>42</v>
      </c>
      <c r="F12" s="42"/>
      <c r="G12" s="42"/>
      <c r="H12" s="42"/>
    </row>
    <row r="13" spans="1:8" x14ac:dyDescent="0.3">
      <c r="A13" s="47" t="s">
        <v>78</v>
      </c>
      <c r="B13" s="111">
        <v>600</v>
      </c>
      <c r="C13" s="45">
        <v>500</v>
      </c>
      <c r="D13" s="45">
        <v>500</v>
      </c>
      <c r="E13" s="45">
        <v>500</v>
      </c>
    </row>
    <row r="14" spans="1:8" x14ac:dyDescent="0.3">
      <c r="A14" s="47" t="s">
        <v>79</v>
      </c>
      <c r="B14" s="111">
        <v>200</v>
      </c>
      <c r="C14" s="45">
        <v>197</v>
      </c>
      <c r="D14" s="45">
        <v>197</v>
      </c>
      <c r="E14" s="45">
        <v>197</v>
      </c>
    </row>
    <row r="15" spans="1:8" x14ac:dyDescent="0.3">
      <c r="A15" s="47" t="s">
        <v>77</v>
      </c>
      <c r="B15" s="45">
        <f>'LOAN QUOTE'!C32</f>
        <v>21500</v>
      </c>
      <c r="C15" s="45">
        <f>'LOAN QUOTE'!E32</f>
        <v>24750</v>
      </c>
      <c r="D15" s="45">
        <f>'LOAN QUOTE'!F32</f>
        <v>28000</v>
      </c>
      <c r="E15" s="45">
        <f>'LOAN QUOTE'!G32</f>
        <v>31250</v>
      </c>
    </row>
    <row r="16" spans="1:8" x14ac:dyDescent="0.3">
      <c r="A16" s="47" t="s">
        <v>92</v>
      </c>
      <c r="B16" s="45">
        <f>'LOAN QUOTE'!C36*'Loan Analysis'!$B$8</f>
        <v>11700</v>
      </c>
      <c r="C16" s="45">
        <f>'LOAN QUOTE'!E36*'Loan Analysis'!$B$8</f>
        <v>10188.750000000002</v>
      </c>
      <c r="D16" s="45">
        <f>'LOAN QUOTE'!F36*'Loan Analysis'!$B$8</f>
        <v>8774.9999999999982</v>
      </c>
      <c r="E16" s="45">
        <f>'LOAN QUOTE'!G36*'Loan Analysis'!$B$8</f>
        <v>6630.0000000000009</v>
      </c>
    </row>
    <row r="17" spans="1:8" x14ac:dyDescent="0.3">
      <c r="A17" s="50" t="s">
        <v>91</v>
      </c>
      <c r="B17" s="51">
        <f>SUM(B13:B16)</f>
        <v>34000</v>
      </c>
      <c r="C17" s="51">
        <f>SUM(C13:C16)</f>
        <v>35635.75</v>
      </c>
      <c r="D17" s="51">
        <f>SUM(D13:D16)</f>
        <v>37472</v>
      </c>
      <c r="E17" s="51">
        <f>SUM(E13:E16)</f>
        <v>38577</v>
      </c>
    </row>
    <row r="19" spans="1:8" s="41" customFormat="1" x14ac:dyDescent="0.3">
      <c r="A19" s="102" t="s">
        <v>80</v>
      </c>
      <c r="B19" s="48" t="s">
        <v>54</v>
      </c>
      <c r="C19" s="48" t="s">
        <v>55</v>
      </c>
      <c r="D19" s="48" t="s">
        <v>56</v>
      </c>
      <c r="E19" s="48" t="s">
        <v>57</v>
      </c>
      <c r="F19" s="40"/>
      <c r="G19" s="40"/>
      <c r="H19" s="40"/>
    </row>
    <row r="20" spans="1:8" s="43" customFormat="1" ht="13.8" x14ac:dyDescent="0.3">
      <c r="A20" s="103"/>
      <c r="B20" s="49" t="s">
        <v>45</v>
      </c>
      <c r="C20" s="49" t="s">
        <v>44</v>
      </c>
      <c r="D20" s="49" t="s">
        <v>43</v>
      </c>
      <c r="E20" s="49" t="s">
        <v>42</v>
      </c>
      <c r="F20" s="42"/>
      <c r="G20" s="42"/>
      <c r="H20" s="42"/>
    </row>
    <row r="21" spans="1:8" x14ac:dyDescent="0.3">
      <c r="A21" s="44" t="s">
        <v>81</v>
      </c>
      <c r="B21" s="45">
        <f>'LOAN QUOTE'!$C$18</f>
        <v>100000</v>
      </c>
      <c r="C21" s="45">
        <f>'LOAN QUOTE'!$C$18</f>
        <v>100000</v>
      </c>
      <c r="D21" s="45">
        <f>'LOAN QUOTE'!$C$18</f>
        <v>100000</v>
      </c>
      <c r="E21" s="45">
        <f>'LOAN QUOTE'!$C$18</f>
        <v>100000</v>
      </c>
    </row>
    <row r="22" spans="1:8" x14ac:dyDescent="0.3">
      <c r="A22" s="44" t="s">
        <v>90</v>
      </c>
      <c r="B22" s="45">
        <f>B17+B9</f>
        <v>99000</v>
      </c>
      <c r="C22" s="45">
        <f>C17+C9</f>
        <v>97385.75</v>
      </c>
      <c r="D22" s="45">
        <f>D17+D9</f>
        <v>95972</v>
      </c>
      <c r="E22" s="45">
        <f>E17+E9</f>
        <v>93827</v>
      </c>
    </row>
    <row r="23" spans="1:8" x14ac:dyDescent="0.3">
      <c r="A23" s="44" t="s">
        <v>82</v>
      </c>
      <c r="B23" s="45">
        <f>B21*0.1</f>
        <v>10000</v>
      </c>
      <c r="C23" s="45">
        <f>C21*0.1</f>
        <v>10000</v>
      </c>
      <c r="D23" s="45">
        <f>D21*0.1</f>
        <v>10000</v>
      </c>
      <c r="E23" s="45">
        <f>E21*0.1</f>
        <v>10000</v>
      </c>
    </row>
    <row r="24" spans="1:8" x14ac:dyDescent="0.3">
      <c r="A24" s="50" t="s">
        <v>83</v>
      </c>
      <c r="B24" s="51">
        <f>B21-B22-B23</f>
        <v>-9000</v>
      </c>
      <c r="C24" s="51">
        <f>C21-C22-C23</f>
        <v>-7385.75</v>
      </c>
      <c r="D24" s="51">
        <f>D21-D22-D23</f>
        <v>-5972</v>
      </c>
      <c r="E24" s="51">
        <f>E21-E22-E23</f>
        <v>-3827</v>
      </c>
    </row>
    <row r="25" spans="1:8" x14ac:dyDescent="0.3">
      <c r="A25" s="44" t="s">
        <v>84</v>
      </c>
      <c r="B25" s="46">
        <f>B24/B17</f>
        <v>-0.26470588235294118</v>
      </c>
      <c r="C25" s="46">
        <f>C24/C17</f>
        <v>-0.20725675760998435</v>
      </c>
      <c r="D25" s="46">
        <f>D24/D17</f>
        <v>-0.15937233134073442</v>
      </c>
      <c r="E25" s="46">
        <f>E24/E17</f>
        <v>-9.9204189024548306E-2</v>
      </c>
    </row>
    <row r="26" spans="1:8" x14ac:dyDescent="0.3">
      <c r="A26" s="50" t="s">
        <v>85</v>
      </c>
      <c r="B26" s="52">
        <f>(12/$B$8)*B25</f>
        <v>-0.1764705882352941</v>
      </c>
      <c r="C26" s="52">
        <f>(12/$B$8)*C25</f>
        <v>-0.13817117173998955</v>
      </c>
      <c r="D26" s="52">
        <f>(12/$B$8)*D25</f>
        <v>-0.10624822089382294</v>
      </c>
      <c r="E26" s="52">
        <f>(12/$B$8)*E25</f>
        <v>-6.6136126016365537E-2</v>
      </c>
    </row>
  </sheetData>
  <sheetProtection algorithmName="SHA-512" hashValue="ut/sWZd09CwIBADMdn8QP6wQ5R4uQEIOayAFdsWhpxkUYM4WqwnR/mCKsrHaucWf9/6DAUFRooYJ4NJpV9tD5w==" saltValue="rqY6JZeN3CG58GzLuwe6Vw==" spinCount="100000" sheet="1" objects="1" scenarios="1"/>
  <mergeCells count="2">
    <mergeCell ref="A11:A12"/>
    <mergeCell ref="A19:A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SHEET</vt:lpstr>
      <vt:lpstr>FL &amp; TN</vt:lpstr>
      <vt:lpstr>LOAN QUOTE</vt:lpstr>
      <vt:lpstr>Loan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Jaclyn Olsen</dc:creator>
  <cp:lastModifiedBy>Jaclyn Olsen</cp:lastModifiedBy>
  <cp:lastPrinted>2018-04-24T15:57:21Z</cp:lastPrinted>
  <dcterms:created xsi:type="dcterms:W3CDTF">2018-04-23T23:31:42Z</dcterms:created>
  <dcterms:modified xsi:type="dcterms:W3CDTF">2018-05-07T20:23:54Z</dcterms:modified>
</cp:coreProperties>
</file>